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tabRatio="680" activeTab="0"/>
  </bookViews>
  <sheets>
    <sheet name="Texekanq N 1pet marmin)" sheetId="1" r:id="rId1"/>
  </sheets>
  <definedNames>
    <definedName name="_xlnm._FilterDatabase" localSheetId="0" hidden="1">'Texekanq N 1pet marmin)'!$A$5:$R$36</definedName>
    <definedName name="_xlnm.Print_Area" localSheetId="0">'Texekanq N 1pet marmin)'!$A$1:$T$47</definedName>
    <definedName name="_xlnm.Print_Titles" localSheetId="0">'Texekanq N 1pet marmin)'!$4:$4</definedName>
  </definedNames>
  <calcPr fullCalcOnLoad="1"/>
</workbook>
</file>

<file path=xl/sharedStrings.xml><?xml version="1.0" encoding="utf-8"?>
<sst xmlns="http://schemas.openxmlformats.org/spreadsheetml/2006/main" count="138" uniqueCount="66">
  <si>
    <t>ա</t>
  </si>
  <si>
    <t>բ</t>
  </si>
  <si>
    <t>գ</t>
  </si>
  <si>
    <t xml:space="preserve">Տ Ե Ղ Ե Կ Ա Ն Ք </t>
  </si>
  <si>
    <t>N ը/կ</t>
  </si>
  <si>
    <t>Աշխատանքներ</t>
  </si>
  <si>
    <t>Ապրանքներ</t>
  </si>
  <si>
    <t>Ծառայություններ</t>
  </si>
  <si>
    <t>Ընդամենը, այդ թվում`</t>
  </si>
  <si>
    <t>Գնման  առարկաների անվանումները</t>
  </si>
  <si>
    <t>Պատվիրատուի անվանումը</t>
  </si>
  <si>
    <t>Գնման ձևը</t>
  </si>
  <si>
    <t>Չկայացած գնումների թվաքանակը (հատ)</t>
  </si>
  <si>
    <t>Կնքված պայմանագրերի գումարը ընթացիկ տարվա համար  (հազ.ՀՀ դրամ)</t>
  </si>
  <si>
    <t>Չամփոփված (ընթացքում) գնումների թվաքանակը (հատ)</t>
  </si>
  <si>
    <t>Ամփոփված և կայացած գնումների թվաքանակը (հատ)</t>
  </si>
  <si>
    <t>Ընթացիկ տարվա համար կայացած գնումների արդյունքում հաշվարկային տնտեսում  (հազ.ՀՀ դրամ)</t>
  </si>
  <si>
    <t>Ընդհանուր կայացած գնումների արդյունքում հաշվարկային տնտեսում (հազ.ՀՀ դրամ)</t>
  </si>
  <si>
    <t>Գնման հայտով գնումների նախահաշվային արժեքը ընդհանուր (հազ.ՀՀ դրամ)</t>
  </si>
  <si>
    <t>Չամփոփված (ընթացքում) գնումների նախահաշվային արժեքները (հազ.ՀՀ դրամ)</t>
  </si>
  <si>
    <t>Կնքված պայմանագրերի գումարը ընդհանուր  (հազ.ՀՀ դրամ)</t>
  </si>
  <si>
    <t>5=7+8+9</t>
  </si>
  <si>
    <t>13=6-11</t>
  </si>
  <si>
    <t>14=15+16+17</t>
  </si>
  <si>
    <t>Ընդհանուր կազմակերպված գնումների թվաքանակը (հատ)</t>
  </si>
  <si>
    <t>Գնման ընթացա-կարգերի մասնակից-ների թվաքանակը (հատ)</t>
  </si>
  <si>
    <t>Մերժված մասնակից-ների թվաքանակը (հատ)</t>
  </si>
  <si>
    <t xml:space="preserve">Գնման գործընթացնե-րին  հետագա մասնակցությու-նից հրաժարվողների թվաքանակը (հատ) </t>
  </si>
  <si>
    <t>Ամփոփված և կայացած գնումների նախահաշ-վային արժեքները (հազ.ՀՀ դրամ)</t>
  </si>
  <si>
    <t>Չկայացած գնումների նախահաշ-վային արժեքները (հազ.ՀՀ դրամ)</t>
  </si>
  <si>
    <t>12=7- 10</t>
  </si>
  <si>
    <t>Գնման հայտով գնումների նախահաշվային արժեքը ընթացիկ տարվա համար (հազ.ՀՀ դրամ)</t>
  </si>
  <si>
    <t>Բաց մրցույթ</t>
  </si>
  <si>
    <t>Հրատապ բաց մրցույթ</t>
  </si>
  <si>
    <t>Գնանշման հարցում</t>
  </si>
  <si>
    <t>1.1.1</t>
  </si>
  <si>
    <t>1.1.2</t>
  </si>
  <si>
    <t>1.1.3</t>
  </si>
  <si>
    <t>Երկփուլ մրցույթ</t>
  </si>
  <si>
    <t>Մրցույթ, այդ թվում՝</t>
  </si>
  <si>
    <t>1.2.1</t>
  </si>
  <si>
    <t>1.2.2</t>
  </si>
  <si>
    <t>1.2.3</t>
  </si>
  <si>
    <t>1.3.1</t>
  </si>
  <si>
    <t>1.3.2</t>
  </si>
  <si>
    <t>1.3.3</t>
  </si>
  <si>
    <t>3.1.1</t>
  </si>
  <si>
    <t>3.1.2</t>
  </si>
  <si>
    <t>Մեկ անձ, այդ թվում՝</t>
  </si>
  <si>
    <t>*Մեկ անձից գնում</t>
  </si>
  <si>
    <t>**Մեկ անձից գնում</t>
  </si>
  <si>
    <t>3.2.1</t>
  </si>
  <si>
    <t>3.2.2</t>
  </si>
  <si>
    <t>ԾԱՆՈԹՈՒԹՅՈՒՆ</t>
  </si>
  <si>
    <r>
      <t xml:space="preserve">                </t>
    </r>
    <r>
      <rPr>
        <b/>
        <sz val="11"/>
        <color indexed="8"/>
        <rFont val="GHEA Grapalat"/>
        <family val="3"/>
      </rPr>
      <t>1.</t>
    </r>
    <r>
      <rPr>
        <sz val="11"/>
        <color indexed="8"/>
        <rFont val="GHEA Grapalat"/>
        <family val="3"/>
      </rPr>
      <t xml:space="preserve"> «Ընդհանուր կազմակերպված գնումների թվաքանակը (հատ)» սյունակում լրացվում է հաշվետու ժամանակահատվածում կազմակերպված գնման ընթացակարգերի չափաբաժինների գումարային թվաքանակը, օր. եթե կազմակերպվել է յուրաքանչյուրը 4 չափաբաժնից բաղկացած թվով 3 ընթացակարգ, ապա 14-րդ սյունակում լրացվում է «12» թիվը: Ընդ որում, եթե գնման ընթացակարգը չի կազմակերպվում չափաբաժիններով, ապա տվյալ ընթացակարգը հաշվառվում է որպես 1 չափաբաժնից բաղկացած ընթացակարգ:</t>
    </r>
  </si>
  <si>
    <r>
      <t xml:space="preserve">                2</t>
    </r>
    <r>
      <rPr>
        <sz val="11"/>
        <color indexed="8"/>
        <rFont val="GHEA Grapalat"/>
        <family val="3"/>
      </rPr>
      <t>.«Կայացած գնումների թվաքանակը (հատ)» սյունակում լրացվում է կայացած գնման ընթացակարգերի չափաբաժինների գումարային թվաքանակը:</t>
    </r>
  </si>
  <si>
    <r>
      <t xml:space="preserve">                </t>
    </r>
    <r>
      <rPr>
        <b/>
        <sz val="11"/>
        <color indexed="8"/>
        <rFont val="GHEA Grapalat"/>
        <family val="3"/>
      </rPr>
      <t>3.</t>
    </r>
    <r>
      <rPr>
        <sz val="11"/>
        <color indexed="8"/>
        <rFont val="GHEA Grapalat"/>
        <family val="3"/>
      </rPr>
      <t>«Չկայացած գնումների թվաքանակը (հատ)» սյունակում լրացվում է չկայացած գնման ընթացակարգերի չափաբաժինների գումարային թվաքանակը:</t>
    </r>
  </si>
  <si>
    <r>
      <t xml:space="preserve">                </t>
    </r>
    <r>
      <rPr>
        <b/>
        <sz val="11"/>
        <color indexed="8"/>
        <rFont val="GHEA Grapalat"/>
        <family val="3"/>
      </rPr>
      <t>4</t>
    </r>
    <r>
      <rPr>
        <sz val="11"/>
        <color indexed="8"/>
        <rFont val="GHEA Grapalat"/>
        <family val="3"/>
      </rPr>
      <t xml:space="preserve">.«Չամփոփված (ընթացքում) գնումների թվաքանակը (հատ)» սյունակում լրացվում է չամփոփված գնման ընթացակարգերի չափաբաժինների գումարային թվաքանակը:              </t>
    </r>
  </si>
  <si>
    <r>
      <t xml:space="preserve">                </t>
    </r>
    <r>
      <rPr>
        <b/>
        <sz val="11"/>
        <color indexed="8"/>
        <rFont val="GHEA Grapalat"/>
        <family val="3"/>
      </rPr>
      <t>5.</t>
    </r>
    <r>
      <rPr>
        <sz val="11"/>
        <color indexed="8"/>
        <rFont val="GHEA Grapalat"/>
        <family val="3"/>
      </rPr>
      <t xml:space="preserve">«Մերժված մասնակիցների թվաքանակը սյունակում լրացվում է կազմակերպված գնման ընթացակարգերի շրջանակներում յուրաքանչյուր չափաբաժնի մասով մերժված մասնակիցների գումարային թվաքանակը: </t>
    </r>
  </si>
  <si>
    <r>
      <t xml:space="preserve">                </t>
    </r>
    <r>
      <rPr>
        <b/>
        <sz val="11"/>
        <color indexed="8"/>
        <rFont val="GHEA Grapalat"/>
        <family val="3"/>
      </rPr>
      <t>6.</t>
    </r>
    <r>
      <rPr>
        <sz val="11"/>
        <color indexed="8"/>
        <rFont val="GHEA Grapalat"/>
        <family val="3"/>
      </rPr>
      <t>«Գնման գործընթացներին հետագա մասնակցությունից հրաժարվողների թվաքանակը սյունակը լրացվում է կազմակերպված գնման ընթացակարգերի շրջանակներում յուրաքանչյուր չափաբաժնի մասով գնման գործընթացի հետագա մասնակցությունից հրաժարված մասնակիցների գումարային թվաքանակը:</t>
    </r>
  </si>
  <si>
    <r>
      <t xml:space="preserve">               </t>
    </r>
    <r>
      <rPr>
        <b/>
        <sz val="11"/>
        <color indexed="8"/>
        <rFont val="GHEA Grapalat"/>
        <family val="3"/>
      </rPr>
      <t>7</t>
    </r>
    <r>
      <rPr>
        <sz val="11"/>
        <color indexed="8"/>
        <rFont val="GHEA Grapalat"/>
        <family val="3"/>
      </rPr>
      <t>. 3.1.1, 3.2.1 և 3.3.1 տողերում՝ (*) նշանի դեպքում  լրացվում է միայն  ՀՀ կառավարության 04/05/2017թ. թիվ 526-Ն որոշմամբ հաստատված «Գնումների գործընթացի կազմակերպման կարգի» 23-րդ կետի 4-րդ ենթակետով սահմանված ցանկում ընդգրկված  համապատասխանաբար ապրանքների, աշխատանքների և ծառայությունների գնումների վերաբերյալ տեղեկատվությունը(ընդ որում, ցանկում ներառված էլեկրտաէներգիայի մատակարարման, գազամատակարարման, ջրամատակարարման և փոստային ծառայությունների վերաբերյալ նախահաշվային արժեքին  և կնքված պայմանագրի գումարին վերաբերող տվյալները լրացնել ըստ փաստացի ծախսի), իսկ 3.1.2, 3.2.2 և 3.3.2 տողերում  (**) նշանի դեպքում  լրացվում է մեկ անձից գնում կատարելու ընթացակարգերով իրականացված գնումների վերաբերյալ տեղեկատվությունը` բացառությամբ  ՀՀ կառավարության 04/05/2017թ. թիվ 526-Ն որոշմամբ հաստատված «Գնումների գործընթացի կազմակերպման կարգի» 23-րդ կետի 4-րդ ենթակետով սահմանված ցանկում ընդգրկված ապրանքների, աշխատանքների և ծառայությունների գնումների:</t>
    </r>
  </si>
  <si>
    <t>3.3.1</t>
  </si>
  <si>
    <t>3.3.2</t>
  </si>
  <si>
    <t>Էլեկտրոնային աճուրդ</t>
  </si>
  <si>
    <t>&lt;&lt;Հայաստանի պետական տնտեսագիտական համալսարան &gt;&gt; ՊՈԱԿ</t>
  </si>
  <si>
    <t>2019 թվականի  ընթացքում իրականացված  գնումների վերաբերյալ</t>
  </si>
</sst>
</file>

<file path=xl/styles.xml><?xml version="1.0" encoding="utf-8"?>
<styleSheet xmlns="http://schemas.openxmlformats.org/spreadsheetml/2006/main">
  <numFmts count="43">
    <numFmt numFmtId="5" formatCode="#,##0\ &quot;֏&quot;;\-#,##0\ &quot;֏&quot;"/>
    <numFmt numFmtId="6" formatCode="#,##0\ &quot;֏&quot;;[Red]\-#,##0\ &quot;֏&quot;"/>
    <numFmt numFmtId="7" formatCode="#,##0.00\ &quot;֏&quot;;\-#,##0.00\ &quot;֏&quot;"/>
    <numFmt numFmtId="8" formatCode="#,##0.00\ &quot;֏&quot;;[Red]\-#,##0.00\ &quot;֏&quot;"/>
    <numFmt numFmtId="42" formatCode="_-* #,##0\ &quot;֏&quot;_-;\-* #,##0\ &quot;֏&quot;_-;_-* &quot;-&quot;\ &quot;֏&quot;_-;_-@_-"/>
    <numFmt numFmtId="41" formatCode="_-* #,##0\ _֏_-;\-* #,##0\ _֏_-;_-* &quot;-&quot;\ _֏_-;_-@_-"/>
    <numFmt numFmtId="44" formatCode="_-* #,##0.00\ &quot;֏&quot;_-;\-* #,##0.00\ &quot;֏&quot;_-;_-* &quot;-&quot;??\ &quot;֏&quot;_-;_-@_-"/>
    <numFmt numFmtId="43" formatCode="_-* #,##0.00\ _֏_-;\-* #,##0.00\ _֏_-;_-* &quot;-&quot;??\ _֏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"/>
    <numFmt numFmtId="193" formatCode="_(* #,##0.00_);_(* \(#,##0.00\);_(* \-??_);_(@_)"/>
    <numFmt numFmtId="194" formatCode="_-* #,##0.0_р_._-;\-* #,##0.0_р_._-;_-* &quot;-&quot;??_р_._-;_-@_-"/>
    <numFmt numFmtId="195" formatCode="_-* #,##0.000_р_._-;\-* #,##0.000_р_._-;_-* &quot;-&quot;??_р_._-;_-@_-"/>
    <numFmt numFmtId="196" formatCode="#,##0.00_ ;\-#,##0.00\ "/>
    <numFmt numFmtId="197" formatCode="_-* #,##0.0000_р_._-;\-* #,##0.0000_р_._-;_-* &quot;-&quot;??_р_._-;_-@_-"/>
    <numFmt numFmtId="198" formatCode="_-* #,##0_р_._-;\-* #,##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GHEA Grapalat"/>
      <family val="3"/>
    </font>
    <font>
      <sz val="10"/>
      <color indexed="8"/>
      <name val="GHEA Grapalat"/>
      <family val="3"/>
    </font>
    <font>
      <i/>
      <sz val="10"/>
      <color indexed="8"/>
      <name val="GHEA Grapalat"/>
      <family val="3"/>
    </font>
    <font>
      <sz val="9"/>
      <color indexed="8"/>
      <name val="GHEA Grapalat"/>
      <family val="3"/>
    </font>
    <font>
      <sz val="8"/>
      <name val="Calibri"/>
      <family val="2"/>
    </font>
    <font>
      <b/>
      <i/>
      <sz val="10"/>
      <color indexed="8"/>
      <name val="GHEA Grapalat"/>
      <family val="3"/>
    </font>
    <font>
      <i/>
      <sz val="10"/>
      <name val="GHEA Grapalat"/>
      <family val="3"/>
    </font>
    <font>
      <b/>
      <sz val="11"/>
      <color indexed="8"/>
      <name val="GHEA Grapalat"/>
      <family val="3"/>
    </font>
    <font>
      <sz val="11"/>
      <color indexed="8"/>
      <name val="GHEA Grapalat"/>
      <family val="3"/>
    </font>
    <font>
      <sz val="8"/>
      <name val="GHEA Grapalat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" fillId="0" borderId="0" applyFill="0" applyBorder="0" applyAlignment="0" applyProtection="0"/>
    <xf numFmtId="180" fontId="1" fillId="0" borderId="0" applyFont="0" applyFill="0" applyBorder="0" applyAlignment="0" applyProtection="0"/>
    <xf numFmtId="179" fontId="0" fillId="0" borderId="0" applyFont="0" applyFill="0" applyBorder="0" applyAlignment="0" applyProtection="0"/>
    <xf numFmtId="194" fontId="2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42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42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187" fontId="4" fillId="34" borderId="10" xfId="42" applyFont="1" applyFill="1" applyBorder="1" applyAlignment="1">
      <alignment horizontal="center" vertical="center"/>
    </xf>
    <xf numFmtId="192" fontId="3" fillId="34" borderId="10" xfId="0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center" vertical="center"/>
    </xf>
    <xf numFmtId="0" fontId="4" fillId="34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/>
    </xf>
    <xf numFmtId="187" fontId="4" fillId="34" borderId="0" xfId="42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left" vertical="center"/>
    </xf>
    <xf numFmtId="192" fontId="3" fillId="35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187" fontId="3" fillId="35" borderId="10" xfId="42" applyFont="1" applyFill="1" applyBorder="1" applyAlignment="1">
      <alignment horizontal="center" vertical="center" wrapText="1"/>
    </xf>
    <xf numFmtId="2" fontId="4" fillId="35" borderId="10" xfId="42" applyNumberFormat="1" applyFont="1" applyFill="1" applyBorder="1" applyAlignment="1">
      <alignment horizontal="center" vertical="center" wrapText="1"/>
    </xf>
    <xf numFmtId="0" fontId="3" fillId="35" borderId="0" xfId="0" applyFont="1" applyFill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35" borderId="0" xfId="0" applyFont="1" applyFill="1" applyAlignment="1">
      <alignment horizontal="center" vertical="center"/>
    </xf>
    <xf numFmtId="192" fontId="4" fillId="35" borderId="10" xfId="0" applyNumberFormat="1" applyFont="1" applyFill="1" applyBorder="1" applyAlignment="1">
      <alignment horizontal="center" vertical="center" wrapText="1"/>
    </xf>
    <xf numFmtId="198" fontId="3" fillId="35" borderId="10" xfId="42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35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192" fontId="4" fillId="34" borderId="10" xfId="0" applyNumberFormat="1" applyFont="1" applyFill="1" applyBorder="1" applyAlignment="1">
      <alignment horizontal="center" vertical="center" wrapText="1"/>
    </xf>
    <xf numFmtId="2" fontId="4" fillId="34" borderId="10" xfId="42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2" xfId="45"/>
    <cellStyle name="Comma 3" xfId="46"/>
    <cellStyle name="Comma 4" xfId="47"/>
    <cellStyle name="Currency" xfId="48"/>
    <cellStyle name="Currency [0]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8"/>
  <sheetViews>
    <sheetView tabSelected="1" view="pageBreakPreview" zoomScaleSheetLayoutView="100" zoomScalePageLayoutView="0" workbookViewId="0" topLeftCell="A1">
      <pane ySplit="5" topLeftCell="A27" activePane="bottomLeft" state="frozen"/>
      <selection pane="topLeft" activeCell="A1" sqref="A1"/>
      <selection pane="bottomLeft" activeCell="H30" sqref="H30"/>
    </sheetView>
  </sheetViews>
  <sheetFormatPr defaultColWidth="9.140625" defaultRowHeight="15"/>
  <cols>
    <col min="1" max="1" width="5.28125" style="2" customWidth="1"/>
    <col min="2" max="2" width="13.8515625" style="2" customWidth="1"/>
    <col min="3" max="3" width="14.421875" style="2" customWidth="1"/>
    <col min="4" max="4" width="14.140625" style="2" customWidth="1"/>
    <col min="5" max="5" width="16.140625" style="2" customWidth="1"/>
    <col min="6" max="6" width="16.8515625" style="2" customWidth="1"/>
    <col min="7" max="7" width="15.7109375" style="2" customWidth="1"/>
    <col min="8" max="8" width="15.00390625" style="2" bestFit="1" customWidth="1"/>
    <col min="9" max="9" width="15.7109375" style="2" customWidth="1"/>
    <col min="10" max="10" width="16.140625" style="2" customWidth="1"/>
    <col min="11" max="11" width="15.8515625" style="2" customWidth="1"/>
    <col min="12" max="12" width="15.28125" style="2" customWidth="1"/>
    <col min="13" max="13" width="15.7109375" style="2" customWidth="1"/>
    <col min="14" max="14" width="14.8515625" style="2" customWidth="1"/>
    <col min="15" max="15" width="10.8515625" style="2" customWidth="1"/>
    <col min="16" max="16" width="10.57421875" style="2" customWidth="1"/>
    <col min="17" max="17" width="11.00390625" style="2" customWidth="1"/>
    <col min="18" max="18" width="11.57421875" style="2" customWidth="1"/>
    <col min="19" max="19" width="10.00390625" style="2" customWidth="1"/>
    <col min="20" max="20" width="13.00390625" style="2" customWidth="1"/>
    <col min="21" max="16384" width="9.140625" style="2" customWidth="1"/>
  </cols>
  <sheetData>
    <row r="1" spans="1:18" ht="13.5">
      <c r="A1" s="45" t="s">
        <v>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ht="13.5">
      <c r="A2" s="46" t="s">
        <v>65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1:18" ht="13.5">
      <c r="A3" s="41" t="s">
        <v>64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4" spans="1:20" s="7" customFormat="1" ht="158.25" customHeight="1">
      <c r="A4" s="4" t="s">
        <v>4</v>
      </c>
      <c r="B4" s="5" t="s">
        <v>10</v>
      </c>
      <c r="C4" s="5" t="s">
        <v>11</v>
      </c>
      <c r="D4" s="5" t="s">
        <v>9</v>
      </c>
      <c r="E4" s="6" t="s">
        <v>18</v>
      </c>
      <c r="F4" s="6" t="s">
        <v>31</v>
      </c>
      <c r="G4" s="6" t="s">
        <v>28</v>
      </c>
      <c r="H4" s="6" t="s">
        <v>29</v>
      </c>
      <c r="I4" s="6" t="s">
        <v>19</v>
      </c>
      <c r="J4" s="6" t="s">
        <v>20</v>
      </c>
      <c r="K4" s="6" t="s">
        <v>13</v>
      </c>
      <c r="L4" s="6" t="s">
        <v>17</v>
      </c>
      <c r="M4" s="6" t="s">
        <v>16</v>
      </c>
      <c r="N4" s="6" t="s">
        <v>24</v>
      </c>
      <c r="O4" s="6" t="s">
        <v>15</v>
      </c>
      <c r="P4" s="6" t="s">
        <v>12</v>
      </c>
      <c r="Q4" s="6" t="s">
        <v>14</v>
      </c>
      <c r="R4" s="6" t="s">
        <v>25</v>
      </c>
      <c r="S4" s="6" t="s">
        <v>26</v>
      </c>
      <c r="T4" s="6" t="s">
        <v>27</v>
      </c>
    </row>
    <row r="5" spans="1:20" s="3" customFormat="1" ht="13.5">
      <c r="A5" s="1">
        <v>1</v>
      </c>
      <c r="B5" s="1">
        <v>2</v>
      </c>
      <c r="C5" s="1">
        <v>3</v>
      </c>
      <c r="D5" s="1">
        <v>4</v>
      </c>
      <c r="E5" s="1" t="s">
        <v>21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9" t="s">
        <v>30</v>
      </c>
      <c r="M5" s="1" t="s">
        <v>22</v>
      </c>
      <c r="N5" s="1" t="s">
        <v>23</v>
      </c>
      <c r="O5" s="1">
        <v>15</v>
      </c>
      <c r="P5" s="1">
        <v>16</v>
      </c>
      <c r="Q5" s="1">
        <v>17</v>
      </c>
      <c r="R5" s="1">
        <v>18</v>
      </c>
      <c r="S5" s="1">
        <v>19</v>
      </c>
      <c r="T5" s="1">
        <v>20</v>
      </c>
    </row>
    <row r="6" spans="1:20" s="26" customFormat="1" ht="61.5" customHeight="1">
      <c r="A6" s="22">
        <v>1.1</v>
      </c>
      <c r="B6" s="36" t="s">
        <v>64</v>
      </c>
      <c r="C6" s="23" t="s">
        <v>39</v>
      </c>
      <c r="D6" s="23" t="s">
        <v>5</v>
      </c>
      <c r="E6" s="24">
        <f>SUM(E7:E9)</f>
        <v>0</v>
      </c>
      <c r="F6" s="24">
        <f aca="true" t="shared" si="0" ref="F6:T6">SUM(F7:F9)</f>
        <v>0</v>
      </c>
      <c r="G6" s="24">
        <f t="shared" si="0"/>
        <v>0</v>
      </c>
      <c r="H6" s="24">
        <f t="shared" si="0"/>
        <v>0</v>
      </c>
      <c r="I6" s="24">
        <f t="shared" si="0"/>
        <v>0</v>
      </c>
      <c r="J6" s="24">
        <f t="shared" si="0"/>
        <v>0</v>
      </c>
      <c r="K6" s="24">
        <f t="shared" si="0"/>
        <v>0</v>
      </c>
      <c r="L6" s="24">
        <f t="shared" si="0"/>
        <v>0</v>
      </c>
      <c r="M6" s="24">
        <f t="shared" si="0"/>
        <v>0</v>
      </c>
      <c r="N6" s="24">
        <f t="shared" si="0"/>
        <v>0</v>
      </c>
      <c r="O6" s="24">
        <f t="shared" si="0"/>
        <v>0</v>
      </c>
      <c r="P6" s="24">
        <f t="shared" si="0"/>
        <v>0</v>
      </c>
      <c r="Q6" s="24">
        <f t="shared" si="0"/>
        <v>0</v>
      </c>
      <c r="R6" s="30">
        <f t="shared" si="0"/>
        <v>0</v>
      </c>
      <c r="S6" s="24">
        <f t="shared" si="0"/>
        <v>0</v>
      </c>
      <c r="T6" s="24">
        <f t="shared" si="0"/>
        <v>0</v>
      </c>
    </row>
    <row r="7" spans="1:20" s="16" customFormat="1" ht="61.5" customHeight="1">
      <c r="A7" s="15" t="s">
        <v>35</v>
      </c>
      <c r="B7" s="37" t="s">
        <v>64</v>
      </c>
      <c r="C7" s="10" t="s">
        <v>32</v>
      </c>
      <c r="D7" s="12" t="s">
        <v>5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</row>
    <row r="8" spans="1:20" s="16" customFormat="1" ht="61.5" customHeight="1">
      <c r="A8" s="15" t="s">
        <v>36</v>
      </c>
      <c r="B8" s="37" t="s">
        <v>64</v>
      </c>
      <c r="C8" s="10" t="s">
        <v>33</v>
      </c>
      <c r="D8" s="12" t="s">
        <v>5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</row>
    <row r="9" spans="1:20" s="16" customFormat="1" ht="61.5" customHeight="1">
      <c r="A9" s="15" t="s">
        <v>37</v>
      </c>
      <c r="B9" s="37" t="s">
        <v>64</v>
      </c>
      <c r="C9" s="10" t="s">
        <v>38</v>
      </c>
      <c r="D9" s="12" t="s">
        <v>5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</row>
    <row r="10" spans="1:20" s="28" customFormat="1" ht="61.5" customHeight="1">
      <c r="A10" s="22">
        <v>1.2</v>
      </c>
      <c r="B10" s="36" t="s">
        <v>64</v>
      </c>
      <c r="C10" s="23" t="s">
        <v>39</v>
      </c>
      <c r="D10" s="27" t="s">
        <v>6</v>
      </c>
      <c r="E10" s="24">
        <f aca="true" t="shared" si="1" ref="E10:T10">SUM(E11:E13)</f>
        <v>0</v>
      </c>
      <c r="F10" s="24">
        <f t="shared" si="1"/>
        <v>0</v>
      </c>
      <c r="G10" s="24">
        <f t="shared" si="1"/>
        <v>0</v>
      </c>
      <c r="H10" s="24">
        <f t="shared" si="1"/>
        <v>0</v>
      </c>
      <c r="I10" s="24">
        <f t="shared" si="1"/>
        <v>0</v>
      </c>
      <c r="J10" s="24">
        <f t="shared" si="1"/>
        <v>0</v>
      </c>
      <c r="K10" s="24">
        <f t="shared" si="1"/>
        <v>0</v>
      </c>
      <c r="L10" s="24">
        <f t="shared" si="1"/>
        <v>0</v>
      </c>
      <c r="M10" s="24">
        <f t="shared" si="1"/>
        <v>0</v>
      </c>
      <c r="N10" s="24">
        <f t="shared" si="1"/>
        <v>0</v>
      </c>
      <c r="O10" s="24">
        <f t="shared" si="1"/>
        <v>0</v>
      </c>
      <c r="P10" s="24">
        <f t="shared" si="1"/>
        <v>0</v>
      </c>
      <c r="Q10" s="24">
        <f t="shared" si="1"/>
        <v>0</v>
      </c>
      <c r="R10" s="24">
        <f t="shared" si="1"/>
        <v>0</v>
      </c>
      <c r="S10" s="24">
        <f t="shared" si="1"/>
        <v>0</v>
      </c>
      <c r="T10" s="24">
        <f t="shared" si="1"/>
        <v>0</v>
      </c>
    </row>
    <row r="11" spans="1:20" s="16" customFormat="1" ht="61.5" customHeight="1">
      <c r="A11" s="15" t="s">
        <v>40</v>
      </c>
      <c r="B11" s="37" t="s">
        <v>64</v>
      </c>
      <c r="C11" s="10" t="s">
        <v>32</v>
      </c>
      <c r="D11" s="10" t="s">
        <v>6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</row>
    <row r="12" spans="1:20" s="16" customFormat="1" ht="61.5" customHeight="1">
      <c r="A12" s="15" t="s">
        <v>41</v>
      </c>
      <c r="B12" s="37" t="s">
        <v>64</v>
      </c>
      <c r="C12" s="10" t="s">
        <v>33</v>
      </c>
      <c r="D12" s="10" t="s">
        <v>6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</row>
    <row r="13" spans="1:20" s="16" customFormat="1" ht="61.5" customHeight="1">
      <c r="A13" s="15" t="s">
        <v>42</v>
      </c>
      <c r="B13" s="37" t="s">
        <v>64</v>
      </c>
      <c r="C13" s="10" t="s">
        <v>38</v>
      </c>
      <c r="D13" s="10" t="s">
        <v>6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</row>
    <row r="14" spans="1:20" s="28" customFormat="1" ht="61.5" customHeight="1">
      <c r="A14" s="22">
        <v>1.3</v>
      </c>
      <c r="B14" s="36" t="s">
        <v>64</v>
      </c>
      <c r="C14" s="23" t="s">
        <v>39</v>
      </c>
      <c r="D14" s="27" t="s">
        <v>7</v>
      </c>
      <c r="E14" s="24">
        <f aca="true" t="shared" si="2" ref="E14:T14">SUM(E15:E17)</f>
        <v>0</v>
      </c>
      <c r="F14" s="24">
        <f t="shared" si="2"/>
        <v>0</v>
      </c>
      <c r="G14" s="24">
        <f t="shared" si="2"/>
        <v>0</v>
      </c>
      <c r="H14" s="24">
        <f t="shared" si="2"/>
        <v>0</v>
      </c>
      <c r="I14" s="24">
        <f t="shared" si="2"/>
        <v>0</v>
      </c>
      <c r="J14" s="24">
        <f t="shared" si="2"/>
        <v>0</v>
      </c>
      <c r="K14" s="24">
        <f t="shared" si="2"/>
        <v>0</v>
      </c>
      <c r="L14" s="24">
        <f t="shared" si="2"/>
        <v>0</v>
      </c>
      <c r="M14" s="24">
        <f t="shared" si="2"/>
        <v>0</v>
      </c>
      <c r="N14" s="24">
        <f t="shared" si="2"/>
        <v>0</v>
      </c>
      <c r="O14" s="24">
        <f t="shared" si="2"/>
        <v>0</v>
      </c>
      <c r="P14" s="24">
        <f t="shared" si="2"/>
        <v>0</v>
      </c>
      <c r="Q14" s="24">
        <f t="shared" si="2"/>
        <v>0</v>
      </c>
      <c r="R14" s="24">
        <f t="shared" si="2"/>
        <v>0</v>
      </c>
      <c r="S14" s="24">
        <f t="shared" si="2"/>
        <v>0</v>
      </c>
      <c r="T14" s="24">
        <f t="shared" si="2"/>
        <v>0</v>
      </c>
    </row>
    <row r="15" spans="1:20" s="16" customFormat="1" ht="61.5" customHeight="1">
      <c r="A15" s="15" t="s">
        <v>43</v>
      </c>
      <c r="B15" s="37" t="s">
        <v>64</v>
      </c>
      <c r="C15" s="10" t="s">
        <v>32</v>
      </c>
      <c r="D15" s="10" t="s">
        <v>7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</row>
    <row r="16" spans="1:20" s="16" customFormat="1" ht="61.5" customHeight="1">
      <c r="A16" s="15" t="s">
        <v>44</v>
      </c>
      <c r="B16" s="37" t="s">
        <v>64</v>
      </c>
      <c r="C16" s="10" t="s">
        <v>33</v>
      </c>
      <c r="D16" s="10" t="s">
        <v>7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</row>
    <row r="17" spans="1:20" s="16" customFormat="1" ht="61.5" customHeight="1">
      <c r="A17" s="15" t="s">
        <v>45</v>
      </c>
      <c r="B17" s="37" t="s">
        <v>64</v>
      </c>
      <c r="C17" s="10" t="s">
        <v>38</v>
      </c>
      <c r="D17" s="10" t="s">
        <v>7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</row>
    <row r="18" spans="1:20" s="16" customFormat="1" ht="61.5" customHeight="1">
      <c r="A18" s="15">
        <v>2.1</v>
      </c>
      <c r="B18" s="37" t="s">
        <v>64</v>
      </c>
      <c r="C18" s="37" t="s">
        <v>34</v>
      </c>
      <c r="D18" s="37" t="s">
        <v>5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</row>
    <row r="19" spans="1:20" s="16" customFormat="1" ht="61.5" customHeight="1">
      <c r="A19" s="15">
        <v>2.2</v>
      </c>
      <c r="B19" s="37" t="s">
        <v>64</v>
      </c>
      <c r="C19" s="37" t="s">
        <v>34</v>
      </c>
      <c r="D19" s="37" t="s">
        <v>6</v>
      </c>
      <c r="E19" s="11">
        <f>SUM(G19:I19)</f>
        <v>50387.9</v>
      </c>
      <c r="F19" s="11">
        <f>14756.6+19609.6+7790.1+8231.6</f>
        <v>50387.899999999994</v>
      </c>
      <c r="G19" s="11">
        <f>14126.9+16645+6220.1+8207.6</f>
        <v>45199.6</v>
      </c>
      <c r="H19" s="11">
        <f>629.7+2964.6+1570+24</f>
        <v>5188.3</v>
      </c>
      <c r="I19" s="11">
        <v>0</v>
      </c>
      <c r="J19" s="11">
        <f>12175.1+13810.3+4953.8+7183.6</f>
        <v>38122.8</v>
      </c>
      <c r="K19" s="11">
        <f>12175.1+13810.3+4953.8+7183.6</f>
        <v>38122.8</v>
      </c>
      <c r="L19" s="11">
        <f>G19-J19</f>
        <v>7076.799999999996</v>
      </c>
      <c r="M19" s="11">
        <f>F19-K19</f>
        <v>12265.099999999991</v>
      </c>
      <c r="N19" s="11">
        <f>SUM(O19:Q19)</f>
        <v>357</v>
      </c>
      <c r="O19" s="11">
        <f>88+35+99+62</f>
        <v>284</v>
      </c>
      <c r="P19" s="11">
        <f>30+24+17+2</f>
        <v>73</v>
      </c>
      <c r="Q19" s="11">
        <v>0</v>
      </c>
      <c r="R19" s="11">
        <f>266+68+224+73</f>
        <v>631</v>
      </c>
      <c r="S19" s="11">
        <f>178+33+125+11</f>
        <v>347</v>
      </c>
      <c r="T19" s="11">
        <v>0</v>
      </c>
    </row>
    <row r="20" spans="1:20" s="16" customFormat="1" ht="61.5" customHeight="1">
      <c r="A20" s="38">
        <v>2.3</v>
      </c>
      <c r="B20" s="37" t="s">
        <v>64</v>
      </c>
      <c r="C20" s="37" t="s">
        <v>34</v>
      </c>
      <c r="D20" s="37" t="s">
        <v>7</v>
      </c>
      <c r="E20" s="11">
        <f>SUM(G20:I20)</f>
        <v>28697.8</v>
      </c>
      <c r="F20" s="11">
        <f>21930+4876.8+1891</f>
        <v>28697.8</v>
      </c>
      <c r="G20" s="11">
        <f>21930+4876.8+1891</f>
        <v>28697.8</v>
      </c>
      <c r="H20" s="11">
        <v>0</v>
      </c>
      <c r="I20" s="11">
        <v>0</v>
      </c>
      <c r="J20" s="11">
        <f>21173.5+4876.8+1697</f>
        <v>27747.3</v>
      </c>
      <c r="K20" s="11">
        <f>21173.5+4876.8+1697</f>
        <v>27747.3</v>
      </c>
      <c r="L20" s="11">
        <f>G20-J20</f>
        <v>950.5</v>
      </c>
      <c r="M20" s="11">
        <f>F20-K20</f>
        <v>950.5</v>
      </c>
      <c r="N20" s="11">
        <f>SUM(O20:Q20)</f>
        <v>12</v>
      </c>
      <c r="O20" s="11">
        <f>7+1+4</f>
        <v>12</v>
      </c>
      <c r="P20" s="11">
        <v>0</v>
      </c>
      <c r="Q20" s="11">
        <v>0</v>
      </c>
      <c r="R20" s="11">
        <f>17+1+6</f>
        <v>24</v>
      </c>
      <c r="S20" s="11">
        <f>10+2</f>
        <v>12</v>
      </c>
      <c r="T20" s="11">
        <v>0</v>
      </c>
    </row>
    <row r="21" spans="1:20" s="28" customFormat="1" ht="61.5" customHeight="1">
      <c r="A21" s="29">
        <v>3.1</v>
      </c>
      <c r="B21" s="36" t="s">
        <v>64</v>
      </c>
      <c r="C21" s="27" t="s">
        <v>48</v>
      </c>
      <c r="D21" s="27" t="s">
        <v>5</v>
      </c>
      <c r="E21" s="25">
        <f aca="true" t="shared" si="3" ref="E21:T21">SUM(E22:E23)</f>
        <v>0</v>
      </c>
      <c r="F21" s="25">
        <f t="shared" si="3"/>
        <v>0</v>
      </c>
      <c r="G21" s="25">
        <f t="shared" si="3"/>
        <v>0</v>
      </c>
      <c r="H21" s="25">
        <f t="shared" si="3"/>
        <v>0</v>
      </c>
      <c r="I21" s="25">
        <f t="shared" si="3"/>
        <v>0</v>
      </c>
      <c r="J21" s="25">
        <f t="shared" si="3"/>
        <v>0</v>
      </c>
      <c r="K21" s="25">
        <f t="shared" si="3"/>
        <v>0</v>
      </c>
      <c r="L21" s="25">
        <f t="shared" si="3"/>
        <v>0</v>
      </c>
      <c r="M21" s="25">
        <f t="shared" si="3"/>
        <v>0</v>
      </c>
      <c r="N21" s="25">
        <f t="shared" si="3"/>
        <v>0</v>
      </c>
      <c r="O21" s="25">
        <f t="shared" si="3"/>
        <v>0</v>
      </c>
      <c r="P21" s="25">
        <f t="shared" si="3"/>
        <v>0</v>
      </c>
      <c r="Q21" s="25">
        <f t="shared" si="3"/>
        <v>0</v>
      </c>
      <c r="R21" s="25">
        <f t="shared" si="3"/>
        <v>0</v>
      </c>
      <c r="S21" s="25">
        <f t="shared" si="3"/>
        <v>0</v>
      </c>
      <c r="T21" s="25">
        <f t="shared" si="3"/>
        <v>0</v>
      </c>
    </row>
    <row r="22" spans="1:20" s="16" customFormat="1" ht="61.5" customHeight="1">
      <c r="A22" s="15" t="s">
        <v>46</v>
      </c>
      <c r="B22" s="37" t="s">
        <v>64</v>
      </c>
      <c r="C22" s="10" t="s">
        <v>49</v>
      </c>
      <c r="D22" s="10" t="s">
        <v>5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</row>
    <row r="23" spans="1:20" s="16" customFormat="1" ht="61.5" customHeight="1">
      <c r="A23" s="15" t="s">
        <v>47</v>
      </c>
      <c r="B23" s="37" t="s">
        <v>64</v>
      </c>
      <c r="C23" s="10" t="s">
        <v>50</v>
      </c>
      <c r="D23" s="10" t="s">
        <v>5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</row>
    <row r="24" spans="1:20" s="28" customFormat="1" ht="61.5" customHeight="1">
      <c r="A24" s="22">
        <v>3.2</v>
      </c>
      <c r="B24" s="36" t="s">
        <v>64</v>
      </c>
      <c r="C24" s="27" t="s">
        <v>48</v>
      </c>
      <c r="D24" s="27" t="s">
        <v>6</v>
      </c>
      <c r="E24" s="25">
        <f>SUM(E25:E26)</f>
        <v>9742.5</v>
      </c>
      <c r="F24" s="25">
        <f aca="true" t="shared" si="4" ref="F24:T24">SUM(F25:F26)</f>
        <v>9742.5</v>
      </c>
      <c r="G24" s="25">
        <f t="shared" si="4"/>
        <v>9273</v>
      </c>
      <c r="H24" s="25">
        <f t="shared" si="4"/>
        <v>469.5</v>
      </c>
      <c r="I24" s="25">
        <f t="shared" si="4"/>
        <v>0</v>
      </c>
      <c r="J24" s="25">
        <f t="shared" si="4"/>
        <v>8291.5</v>
      </c>
      <c r="K24" s="25">
        <f t="shared" si="4"/>
        <v>8291.5</v>
      </c>
      <c r="L24" s="25">
        <f t="shared" si="4"/>
        <v>981.5</v>
      </c>
      <c r="M24" s="25">
        <f t="shared" si="4"/>
        <v>1451</v>
      </c>
      <c r="N24" s="25">
        <f t="shared" si="4"/>
        <v>135</v>
      </c>
      <c r="O24" s="25">
        <f t="shared" si="4"/>
        <v>127</v>
      </c>
      <c r="P24" s="25">
        <f t="shared" si="4"/>
        <v>8</v>
      </c>
      <c r="Q24" s="25">
        <f t="shared" si="4"/>
        <v>0</v>
      </c>
      <c r="R24" s="25">
        <f t="shared" si="4"/>
        <v>140</v>
      </c>
      <c r="S24" s="25">
        <f t="shared" si="4"/>
        <v>21</v>
      </c>
      <c r="T24" s="25">
        <f t="shared" si="4"/>
        <v>0</v>
      </c>
    </row>
    <row r="25" spans="1:20" s="16" customFormat="1" ht="61.5" customHeight="1">
      <c r="A25" s="15" t="s">
        <v>51</v>
      </c>
      <c r="B25" s="37" t="s">
        <v>64</v>
      </c>
      <c r="C25" s="10" t="s">
        <v>49</v>
      </c>
      <c r="D25" s="10" t="s">
        <v>6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</row>
    <row r="26" spans="1:20" s="16" customFormat="1" ht="61.5" customHeight="1">
      <c r="A26" s="15" t="s">
        <v>52</v>
      </c>
      <c r="B26" s="37" t="s">
        <v>64</v>
      </c>
      <c r="C26" s="37" t="s">
        <v>50</v>
      </c>
      <c r="D26" s="37" t="s">
        <v>6</v>
      </c>
      <c r="E26" s="11">
        <f>SUM(G26:I26)</f>
        <v>9742.5</v>
      </c>
      <c r="F26" s="11">
        <f>2294+3735.9+3712.6</f>
        <v>9742.5</v>
      </c>
      <c r="G26" s="11">
        <f>2284+3635.9+3353.1</f>
        <v>9273</v>
      </c>
      <c r="H26" s="11">
        <f>10+100+359.5</f>
        <v>469.5</v>
      </c>
      <c r="I26" s="11">
        <v>0</v>
      </c>
      <c r="J26" s="11">
        <f>2130.7+3066+3094.8</f>
        <v>8291.5</v>
      </c>
      <c r="K26" s="11">
        <f>2130.7+3066+3094.8</f>
        <v>8291.5</v>
      </c>
      <c r="L26" s="11">
        <f>G26-J26</f>
        <v>981.5</v>
      </c>
      <c r="M26" s="11">
        <f>F26-K26</f>
        <v>1451</v>
      </c>
      <c r="N26" s="11">
        <f>SUM(O26:Q26)</f>
        <v>135</v>
      </c>
      <c r="O26" s="11">
        <f>14+66+47</f>
        <v>127</v>
      </c>
      <c r="P26" s="11">
        <f>1+1+6</f>
        <v>8</v>
      </c>
      <c r="Q26" s="11">
        <v>0</v>
      </c>
      <c r="R26" s="11">
        <f>13+76+51</f>
        <v>140</v>
      </c>
      <c r="S26" s="11">
        <f>11+10</f>
        <v>21</v>
      </c>
      <c r="T26" s="11">
        <v>0</v>
      </c>
    </row>
    <row r="27" spans="1:20" s="16" customFormat="1" ht="61.5" customHeight="1">
      <c r="A27" s="22">
        <v>3.3</v>
      </c>
      <c r="B27" s="36" t="s">
        <v>64</v>
      </c>
      <c r="C27" s="27" t="s">
        <v>48</v>
      </c>
      <c r="D27" s="27" t="s">
        <v>7</v>
      </c>
      <c r="E27" s="25">
        <f aca="true" t="shared" si="5" ref="E27:T27">SUM(E28:E29)</f>
        <v>121454.6</v>
      </c>
      <c r="F27" s="25">
        <f t="shared" si="5"/>
        <v>121395</v>
      </c>
      <c r="G27" s="25">
        <f t="shared" si="5"/>
        <v>121335.70000000001</v>
      </c>
      <c r="H27" s="25">
        <f t="shared" si="5"/>
        <v>118.9</v>
      </c>
      <c r="I27" s="25">
        <f t="shared" si="5"/>
        <v>0</v>
      </c>
      <c r="J27" s="25">
        <f t="shared" si="5"/>
        <v>120457.70000000001</v>
      </c>
      <c r="K27" s="25">
        <f t="shared" si="5"/>
        <v>120457.70000000001</v>
      </c>
      <c r="L27" s="25">
        <f t="shared" si="5"/>
        <v>878</v>
      </c>
      <c r="M27" s="25">
        <f t="shared" si="5"/>
        <v>937.2999999999956</v>
      </c>
      <c r="N27" s="25">
        <f t="shared" si="5"/>
        <v>127</v>
      </c>
      <c r="O27" s="25">
        <f t="shared" si="5"/>
        <v>125</v>
      </c>
      <c r="P27" s="25">
        <f t="shared" si="5"/>
        <v>2</v>
      </c>
      <c r="Q27" s="25">
        <f t="shared" si="5"/>
        <v>0</v>
      </c>
      <c r="R27" s="25">
        <f t="shared" si="5"/>
        <v>157</v>
      </c>
      <c r="S27" s="25">
        <f t="shared" si="5"/>
        <v>29</v>
      </c>
      <c r="T27" s="25">
        <f t="shared" si="5"/>
        <v>0</v>
      </c>
    </row>
    <row r="28" spans="1:20" s="16" customFormat="1" ht="61.5" customHeight="1">
      <c r="A28" s="15" t="s">
        <v>61</v>
      </c>
      <c r="B28" s="37" t="s">
        <v>64</v>
      </c>
      <c r="C28" s="37" t="s">
        <v>49</v>
      </c>
      <c r="D28" s="37" t="s">
        <v>7</v>
      </c>
      <c r="E28" s="39">
        <f>SUM(G28:I28)</f>
        <v>78236.1</v>
      </c>
      <c r="F28" s="11">
        <f>41166.7+22467.8+6454.6+8147</f>
        <v>78236.1</v>
      </c>
      <c r="G28" s="11">
        <f>41166.7+22467.8+6454.6+8147</f>
        <v>78236.1</v>
      </c>
      <c r="H28" s="11">
        <v>0</v>
      </c>
      <c r="I28" s="11">
        <v>0</v>
      </c>
      <c r="J28" s="11">
        <f>41166.7+22467.8+6454.6+8147</f>
        <v>78236.1</v>
      </c>
      <c r="K28" s="11">
        <f>41166.7+22467.8+6454.6+8147</f>
        <v>78236.1</v>
      </c>
      <c r="L28" s="11">
        <f>G28-J28</f>
        <v>0</v>
      </c>
      <c r="M28" s="11">
        <f>F28-K28</f>
        <v>0</v>
      </c>
      <c r="N28" s="11">
        <f>SUM(O28:Q28)</f>
        <v>54</v>
      </c>
      <c r="O28" s="11">
        <f>18+18+18</f>
        <v>54</v>
      </c>
      <c r="P28" s="11">
        <v>0</v>
      </c>
      <c r="Q28" s="11">
        <v>0</v>
      </c>
      <c r="R28" s="11">
        <f>18+18+18</f>
        <v>54</v>
      </c>
      <c r="S28" s="11">
        <v>0</v>
      </c>
      <c r="T28" s="11">
        <v>0</v>
      </c>
    </row>
    <row r="29" spans="1:20" s="16" customFormat="1" ht="61.5" customHeight="1">
      <c r="A29" s="15" t="s">
        <v>62</v>
      </c>
      <c r="B29" s="37" t="s">
        <v>64</v>
      </c>
      <c r="C29" s="37" t="s">
        <v>50</v>
      </c>
      <c r="D29" s="37" t="s">
        <v>7</v>
      </c>
      <c r="E29" s="39">
        <f>SUM(G29:I29)</f>
        <v>43218.5</v>
      </c>
      <c r="F29" s="11">
        <f>(3793+9616.4)+(3878+15098.1)+(1824.1+1994)+(3051.7+3903.6)</f>
        <v>43158.899999999994</v>
      </c>
      <c r="G29" s="11">
        <f>(3793+9616.4)+(3878+15098.1)+(1824.1+1994)+(2992.4+3903.6)</f>
        <v>43099.6</v>
      </c>
      <c r="H29" s="11">
        <f>60+58.9</f>
        <v>118.9</v>
      </c>
      <c r="I29" s="11">
        <v>0</v>
      </c>
      <c r="J29" s="11">
        <f>(3776.6+9616.4)+(3863+15098.1)+(1824.1+1943)+(2196.8+3903.6)</f>
        <v>42221.6</v>
      </c>
      <c r="K29" s="11">
        <f>(3776.6+9616.4)+(3863+15098.1)+(1824.1+1943)+(2196.8+3903.6)</f>
        <v>42221.6</v>
      </c>
      <c r="L29" s="11">
        <f>G29-J29</f>
        <v>878</v>
      </c>
      <c r="M29" s="11">
        <f>F29-K29</f>
        <v>937.2999999999956</v>
      </c>
      <c r="N29" s="11">
        <f>SUM(O29:Q29)</f>
        <v>73</v>
      </c>
      <c r="O29" s="11">
        <f>12+3+23+10+23</f>
        <v>71</v>
      </c>
      <c r="P29" s="11">
        <f>1+1</f>
        <v>2</v>
      </c>
      <c r="Q29" s="11">
        <v>0</v>
      </c>
      <c r="R29" s="11">
        <f>37+3+23+10+30</f>
        <v>103</v>
      </c>
      <c r="S29" s="11">
        <f>15+4+10</f>
        <v>29</v>
      </c>
      <c r="T29" s="11">
        <v>0</v>
      </c>
    </row>
    <row r="30" spans="1:20" s="16" customFormat="1" ht="61.5" customHeight="1">
      <c r="A30" s="15">
        <v>4.1</v>
      </c>
      <c r="B30" s="37" t="s">
        <v>64</v>
      </c>
      <c r="C30" s="10" t="s">
        <v>63</v>
      </c>
      <c r="D30" s="10" t="s">
        <v>5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</row>
    <row r="31" spans="1:20" s="16" customFormat="1" ht="61.5" customHeight="1">
      <c r="A31" s="15">
        <v>4.2</v>
      </c>
      <c r="B31" s="37" t="s">
        <v>64</v>
      </c>
      <c r="C31" s="10" t="s">
        <v>63</v>
      </c>
      <c r="D31" s="10" t="s">
        <v>6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</row>
    <row r="32" spans="1:20" s="16" customFormat="1" ht="61.5" customHeight="1">
      <c r="A32" s="15">
        <v>4.3</v>
      </c>
      <c r="B32" s="37" t="s">
        <v>64</v>
      </c>
      <c r="C32" s="10" t="s">
        <v>63</v>
      </c>
      <c r="D32" s="10" t="s">
        <v>7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</row>
    <row r="33" spans="1:20" s="16" customFormat="1" ht="27">
      <c r="A33" s="10">
        <v>5</v>
      </c>
      <c r="B33" s="10" t="s">
        <v>8</v>
      </c>
      <c r="C33" s="13"/>
      <c r="D33" s="13"/>
      <c r="E33" s="14">
        <f>+E34+E35+E36</f>
        <v>210282.8</v>
      </c>
      <c r="F33" s="14">
        <f aca="true" t="shared" si="6" ref="F33:T33">+F34+F35+F36</f>
        <v>210223.19999999998</v>
      </c>
      <c r="G33" s="14">
        <f t="shared" si="6"/>
        <v>204506.1</v>
      </c>
      <c r="H33" s="14">
        <f t="shared" si="6"/>
        <v>5776.7</v>
      </c>
      <c r="I33" s="14">
        <f t="shared" si="6"/>
        <v>0</v>
      </c>
      <c r="J33" s="14">
        <f t="shared" si="6"/>
        <v>194619.3</v>
      </c>
      <c r="K33" s="14">
        <f t="shared" si="6"/>
        <v>194619.3</v>
      </c>
      <c r="L33" s="14">
        <f t="shared" si="6"/>
        <v>9886.799999999996</v>
      </c>
      <c r="M33" s="14">
        <f t="shared" si="6"/>
        <v>15603.899999999987</v>
      </c>
      <c r="N33" s="14">
        <f t="shared" si="6"/>
        <v>631</v>
      </c>
      <c r="O33" s="14">
        <f t="shared" si="6"/>
        <v>548</v>
      </c>
      <c r="P33" s="14">
        <f t="shared" si="6"/>
        <v>83</v>
      </c>
      <c r="Q33" s="14">
        <f t="shared" si="6"/>
        <v>0</v>
      </c>
      <c r="R33" s="14">
        <f t="shared" si="6"/>
        <v>952</v>
      </c>
      <c r="S33" s="14">
        <f t="shared" si="6"/>
        <v>409</v>
      </c>
      <c r="T33" s="14">
        <f t="shared" si="6"/>
        <v>0</v>
      </c>
    </row>
    <row r="34" spans="1:20" s="16" customFormat="1" ht="13.5">
      <c r="A34" s="10" t="s">
        <v>0</v>
      </c>
      <c r="B34" s="10" t="s">
        <v>5</v>
      </c>
      <c r="C34" s="13"/>
      <c r="D34" s="13"/>
      <c r="E34" s="14">
        <f>E21+E18+E6</f>
        <v>0</v>
      </c>
      <c r="F34" s="14">
        <f aca="true" t="shared" si="7" ref="F34:T34">F21+F18+F6</f>
        <v>0</v>
      </c>
      <c r="G34" s="14">
        <f t="shared" si="7"/>
        <v>0</v>
      </c>
      <c r="H34" s="14">
        <f t="shared" si="7"/>
        <v>0</v>
      </c>
      <c r="I34" s="14">
        <f t="shared" si="7"/>
        <v>0</v>
      </c>
      <c r="J34" s="14">
        <f t="shared" si="7"/>
        <v>0</v>
      </c>
      <c r="K34" s="14">
        <f t="shared" si="7"/>
        <v>0</v>
      </c>
      <c r="L34" s="14">
        <f t="shared" si="7"/>
        <v>0</v>
      </c>
      <c r="M34" s="14">
        <f t="shared" si="7"/>
        <v>0</v>
      </c>
      <c r="N34" s="14">
        <f t="shared" si="7"/>
        <v>0</v>
      </c>
      <c r="O34" s="14">
        <f t="shared" si="7"/>
        <v>0</v>
      </c>
      <c r="P34" s="14">
        <f t="shared" si="7"/>
        <v>0</v>
      </c>
      <c r="Q34" s="14">
        <f t="shared" si="7"/>
        <v>0</v>
      </c>
      <c r="R34" s="14">
        <f t="shared" si="7"/>
        <v>0</v>
      </c>
      <c r="S34" s="14">
        <f t="shared" si="7"/>
        <v>0</v>
      </c>
      <c r="T34" s="14">
        <f t="shared" si="7"/>
        <v>0</v>
      </c>
    </row>
    <row r="35" spans="1:20" s="16" customFormat="1" ht="13.5">
      <c r="A35" s="10" t="s">
        <v>1</v>
      </c>
      <c r="B35" s="10" t="s">
        <v>6</v>
      </c>
      <c r="C35" s="13"/>
      <c r="D35" s="13"/>
      <c r="E35" s="14">
        <f>E24+E19+E10</f>
        <v>60130.4</v>
      </c>
      <c r="F35" s="14">
        <f aca="true" t="shared" si="8" ref="F35:T35">F24+F19+F10</f>
        <v>60130.399999999994</v>
      </c>
      <c r="G35" s="14">
        <f t="shared" si="8"/>
        <v>54472.6</v>
      </c>
      <c r="H35" s="14">
        <f t="shared" si="8"/>
        <v>5657.8</v>
      </c>
      <c r="I35" s="14">
        <f t="shared" si="8"/>
        <v>0</v>
      </c>
      <c r="J35" s="14">
        <f t="shared" si="8"/>
        <v>46414.3</v>
      </c>
      <c r="K35" s="14">
        <f t="shared" si="8"/>
        <v>46414.3</v>
      </c>
      <c r="L35" s="14">
        <f t="shared" si="8"/>
        <v>8058.299999999996</v>
      </c>
      <c r="M35" s="14">
        <f t="shared" si="8"/>
        <v>13716.099999999991</v>
      </c>
      <c r="N35" s="14">
        <f t="shared" si="8"/>
        <v>492</v>
      </c>
      <c r="O35" s="14">
        <f t="shared" si="8"/>
        <v>411</v>
      </c>
      <c r="P35" s="14">
        <f t="shared" si="8"/>
        <v>81</v>
      </c>
      <c r="Q35" s="14">
        <f t="shared" si="8"/>
        <v>0</v>
      </c>
      <c r="R35" s="14">
        <f t="shared" si="8"/>
        <v>771</v>
      </c>
      <c r="S35" s="14">
        <f t="shared" si="8"/>
        <v>368</v>
      </c>
      <c r="T35" s="14">
        <f t="shared" si="8"/>
        <v>0</v>
      </c>
    </row>
    <row r="36" spans="1:20" s="16" customFormat="1" ht="27">
      <c r="A36" s="10" t="s">
        <v>2</v>
      </c>
      <c r="B36" s="10" t="s">
        <v>7</v>
      </c>
      <c r="C36" s="13"/>
      <c r="D36" s="13"/>
      <c r="E36" s="14">
        <f>E27+E20+E14</f>
        <v>150152.4</v>
      </c>
      <c r="F36" s="14">
        <f aca="true" t="shared" si="9" ref="F36:T36">F27+F20+F14</f>
        <v>150092.8</v>
      </c>
      <c r="G36" s="14">
        <f t="shared" si="9"/>
        <v>150033.5</v>
      </c>
      <c r="H36" s="14">
        <f t="shared" si="9"/>
        <v>118.9</v>
      </c>
      <c r="I36" s="14">
        <f t="shared" si="9"/>
        <v>0</v>
      </c>
      <c r="J36" s="14">
        <f t="shared" si="9"/>
        <v>148205</v>
      </c>
      <c r="K36" s="14">
        <f t="shared" si="9"/>
        <v>148205</v>
      </c>
      <c r="L36" s="14">
        <f t="shared" si="9"/>
        <v>1828.5</v>
      </c>
      <c r="M36" s="14">
        <f t="shared" si="9"/>
        <v>1887.7999999999956</v>
      </c>
      <c r="N36" s="14">
        <f t="shared" si="9"/>
        <v>139</v>
      </c>
      <c r="O36" s="14">
        <f t="shared" si="9"/>
        <v>137</v>
      </c>
      <c r="P36" s="14">
        <f t="shared" si="9"/>
        <v>2</v>
      </c>
      <c r="Q36" s="14">
        <f t="shared" si="9"/>
        <v>0</v>
      </c>
      <c r="R36" s="14">
        <f t="shared" si="9"/>
        <v>181</v>
      </c>
      <c r="S36" s="14">
        <f t="shared" si="9"/>
        <v>41</v>
      </c>
      <c r="T36" s="14">
        <f t="shared" si="9"/>
        <v>0</v>
      </c>
    </row>
    <row r="37" spans="1:20" s="16" customFormat="1" ht="13.5">
      <c r="A37" s="17"/>
      <c r="B37" s="17"/>
      <c r="C37" s="18"/>
      <c r="D37" s="18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8"/>
      <c r="T37" s="18"/>
    </row>
    <row r="38" spans="1:19" ht="16.5">
      <c r="A38" s="31"/>
      <c r="B38" s="47" t="s">
        <v>53</v>
      </c>
      <c r="C38" s="47"/>
      <c r="D38" s="31"/>
      <c r="E38" s="31"/>
      <c r="F38" s="31"/>
      <c r="G38" s="31"/>
      <c r="H38" s="31"/>
      <c r="I38" s="32"/>
      <c r="J38" s="33"/>
      <c r="K38" s="33"/>
      <c r="L38" s="33"/>
      <c r="M38" s="33"/>
      <c r="N38" s="33"/>
      <c r="O38" s="33"/>
      <c r="P38" s="33"/>
      <c r="Q38" s="33"/>
      <c r="R38" s="33"/>
      <c r="S38" s="33"/>
    </row>
    <row r="39" spans="2:37" ht="49.5" customHeight="1">
      <c r="B39" s="42" t="s">
        <v>54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</row>
    <row r="40" spans="2:20" ht="26.25" customHeight="1">
      <c r="B40" s="48" t="s">
        <v>55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34"/>
      <c r="T40" s="35"/>
    </row>
    <row r="41" spans="2:20" ht="22.5" customHeight="1">
      <c r="B41" s="40" t="s">
        <v>56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</row>
    <row r="42" spans="2:20" ht="26.25" customHeight="1">
      <c r="B42" s="40" t="s">
        <v>57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</row>
    <row r="43" spans="2:20" ht="21.75" customHeight="1">
      <c r="B43" s="40" t="s">
        <v>58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</row>
    <row r="44" spans="2:20" ht="38.25" customHeight="1">
      <c r="B44" s="42" t="s">
        <v>59</v>
      </c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</row>
    <row r="45" spans="2:20" ht="91.5" customHeight="1">
      <c r="B45" s="42" t="s">
        <v>60</v>
      </c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</row>
    <row r="46" spans="1:20" s="16" customFormat="1" ht="13.5">
      <c r="A46" s="17"/>
      <c r="B46" s="17"/>
      <c r="C46" s="18"/>
      <c r="D46" s="18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8"/>
      <c r="T46" s="18"/>
    </row>
    <row r="47" spans="1:18" s="16" customFormat="1" ht="14.25">
      <c r="A47" s="20"/>
      <c r="B47" s="20"/>
      <c r="C47" s="20"/>
      <c r="D47" s="20"/>
      <c r="E47" s="20"/>
      <c r="F47" s="20"/>
      <c r="G47" s="20"/>
      <c r="H47" s="20"/>
      <c r="I47" s="21"/>
      <c r="J47" s="18"/>
      <c r="K47" s="18"/>
      <c r="L47" s="18"/>
      <c r="M47" s="18"/>
      <c r="N47" s="18"/>
      <c r="O47" s="18"/>
      <c r="P47" s="18"/>
      <c r="Q47" s="18"/>
      <c r="R47" s="18"/>
    </row>
    <row r="48" spans="2:13" s="8" customFormat="1" ht="13.5"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</row>
    <row r="49" s="8" customFormat="1" ht="13.5"/>
    <row r="50" s="8" customFormat="1" ht="13.5"/>
    <row r="51" s="8" customFormat="1" ht="13.5"/>
    <row r="52" s="8" customFormat="1" ht="13.5"/>
    <row r="53" s="8" customFormat="1" ht="13.5"/>
    <row r="54" s="8" customFormat="1" ht="13.5"/>
    <row r="55" s="8" customFormat="1" ht="13.5"/>
  </sheetData>
  <sheetProtection/>
  <autoFilter ref="A5:R36"/>
  <mergeCells count="12">
    <mergeCell ref="B48:M48"/>
    <mergeCell ref="A1:R1"/>
    <mergeCell ref="A2:R2"/>
    <mergeCell ref="B38:C38"/>
    <mergeCell ref="B39:T39"/>
    <mergeCell ref="B40:R40"/>
    <mergeCell ref="B41:T41"/>
    <mergeCell ref="A3:R3"/>
    <mergeCell ref="B42:T42"/>
    <mergeCell ref="B43:T43"/>
    <mergeCell ref="B44:T44"/>
    <mergeCell ref="B45:T45"/>
  </mergeCells>
  <printOptions/>
  <pageMargins left="0" right="0" top="0" bottom="0" header="0" footer="0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2013-03-21T07:24:03Z</cp:lastPrinted>
  <dcterms:created xsi:type="dcterms:W3CDTF">2006-09-16T00:00:00Z</dcterms:created>
  <dcterms:modified xsi:type="dcterms:W3CDTF">2020-01-15T11:49:27Z</dcterms:modified>
  <cp:category/>
  <cp:version/>
  <cp:contentType/>
  <cp:contentStatus/>
</cp:coreProperties>
</file>